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3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atos">'[1]DATOS'!$A$7:$C$26</definedName>
    <definedName name="PRESUPUESTO">'[1]DATOS'!$A$4:$C$4</definedName>
  </definedNames>
  <calcPr fullCalcOnLoad="1"/>
</workbook>
</file>

<file path=xl/sharedStrings.xml><?xml version="1.0" encoding="utf-8"?>
<sst xmlns="http://schemas.openxmlformats.org/spreadsheetml/2006/main" count="51" uniqueCount="37">
  <si>
    <t>FORMULA #1 VALOR PROMEDIO</t>
  </si>
  <si>
    <t>PRESUPUESTO OFICIAL</t>
  </si>
  <si>
    <t>RANGO ADMISIBLE</t>
  </si>
  <si>
    <t>RANGO DE ELEGIBILIDAD (RE)</t>
  </si>
  <si>
    <t>No.</t>
  </si>
  <si>
    <t>PROPONENTES</t>
  </si>
  <si>
    <t>VALOR BASICO DE LA PROPUESTA</t>
  </si>
  <si>
    <t>Factor Multiplicador y correcto diligenciamiento del formulario</t>
  </si>
  <si>
    <t>Valor en el rango admisible</t>
  </si>
  <si>
    <t>ADMISIBLE PARA LA EVALUACIÓN</t>
  </si>
  <si>
    <t>VALOR BÁSICO ADMISIBLE</t>
  </si>
  <si>
    <t>NUMERO DE PROPONENTES</t>
  </si>
  <si>
    <t>NUMERO DE PROPONENTES ADMISIBLES</t>
  </si>
  <si>
    <t>VALOR PROMEDIO 1</t>
  </si>
  <si>
    <t>VRP 1-2%</t>
  </si>
  <si>
    <t>VRP 1+2%</t>
  </si>
  <si>
    <t>PROPUESTAS ELEGIDAS POR EL VRP 1</t>
  </si>
  <si>
    <t>VALOR PROMEDIO 2</t>
  </si>
  <si>
    <t>CRITERIO PNVR0 Y PMVR0</t>
  </si>
  <si>
    <t>DISCREPANCIA FINAL</t>
  </si>
  <si>
    <t>EVALUACIÓN</t>
  </si>
  <si>
    <t>SI</t>
  </si>
  <si>
    <t>PMVRO</t>
  </si>
  <si>
    <t>PNVRO</t>
  </si>
  <si>
    <t>NO</t>
  </si>
  <si>
    <t>VR. PRESUPUESTO OFICIAL (VPO)</t>
  </si>
  <si>
    <t>VR. PROMEDIO 1 (VRP1)</t>
  </si>
  <si>
    <t>VR. PROMEDIO 2 (VRP2)</t>
  </si>
  <si>
    <t>Propuesta hábil más alta  dentro RE ( PNVR0)</t>
  </si>
  <si>
    <t>Propuesta hábil más baja  dentro RE ( PMVR0)</t>
  </si>
  <si>
    <t xml:space="preserve">VALOR PROMEDIO FINAL </t>
  </si>
  <si>
    <t>UNIVERSIDAD DEL CAUCA</t>
  </si>
  <si>
    <t>VICERRECTORIA ADMINISTRATIVA</t>
  </si>
  <si>
    <r>
      <t xml:space="preserve">INVITACIÓN A COTIZAR  </t>
    </r>
    <r>
      <rPr>
        <b/>
        <sz val="9"/>
        <rFont val="Tahoma"/>
        <family val="2"/>
      </rPr>
      <t xml:space="preserve">No. </t>
    </r>
    <r>
      <rPr>
        <b/>
        <sz val="9"/>
        <color indexed="8"/>
        <rFont val="Tahoma"/>
        <family val="2"/>
      </rPr>
      <t xml:space="preserve"> 014 DE  2011</t>
    </r>
  </si>
  <si>
    <t>CONSTRUCCION DE LA SEGUNDA DE LOS LABORATORIOS DE LA FACULTAD DE CIENCIAS DE LA SALUD DE LA UNIVERSIDAD DEL CAUCA - TOMA DE MUESTRAS</t>
  </si>
  <si>
    <t>APLICACIÓN DE LA FORMULA No. 1</t>
  </si>
  <si>
    <t>ORDEN ELEGIBILIDAD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</si>
</sst>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.000"/>
    <numFmt numFmtId="173" formatCode="0.000"/>
  </numFmts>
  <fonts count="43">
    <font>
      <sz val="10"/>
      <name val="Arial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/>
    </xf>
    <xf numFmtId="172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173" fontId="0" fillId="35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Border="1" applyAlignment="1">
      <alignment/>
    </xf>
    <xf numFmtId="0" fontId="0" fillId="37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35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73" fontId="0" fillId="39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0" fillId="38" borderId="13" xfId="0" applyFill="1" applyBorder="1" applyAlignment="1">
      <alignment/>
    </xf>
    <xf numFmtId="0" fontId="0" fillId="38" borderId="13" xfId="0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/>
    </xf>
    <xf numFmtId="4" fontId="0" fillId="41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 horizontal="left"/>
    </xf>
    <xf numFmtId="172" fontId="0" fillId="41" borderId="10" xfId="0" applyNumberFormat="1" applyFill="1" applyBorder="1" applyAlignment="1">
      <alignment horizontal="right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73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0" xfId="0" applyFill="1" applyAlignment="1">
      <alignment horizontal="center"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left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justify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sabelGamez\Configuraci&#243;n%20local\Archivos%20temporales%20de%20Internet\Content.IE5\9C07L985\APLICACION%20FORMULA%201%20-%20CONVOC%20014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#2"/>
      <sheetName val="PARA ESCRIBIR"/>
      <sheetName val="DATOS"/>
      <sheetName val="FORMULA#1"/>
      <sheetName val="FORMULA#2"/>
      <sheetName val="FORMULA#3"/>
    </sheetNames>
    <sheetDataSet>
      <sheetData sheetId="2">
        <row r="4">
          <cell r="A4">
            <v>1</v>
          </cell>
          <cell r="B4" t="str">
            <v>PRESUPUESTO OFICIAL ANTES DE IVA</v>
          </cell>
          <cell r="C4">
            <v>140350828</v>
          </cell>
        </row>
        <row r="7">
          <cell r="A7">
            <v>1</v>
          </cell>
          <cell r="B7" t="str">
            <v>MANUEL TORRES BERMUDES</v>
          </cell>
          <cell r="C7">
            <v>139860289</v>
          </cell>
        </row>
        <row r="8">
          <cell r="A8">
            <v>2</v>
          </cell>
          <cell r="B8" t="str">
            <v>JUAN CARLOS COLLAZOS</v>
          </cell>
          <cell r="C8">
            <v>139331149</v>
          </cell>
        </row>
        <row r="9">
          <cell r="A9">
            <v>3</v>
          </cell>
          <cell r="B9" t="str">
            <v>ALVARO CORREAL</v>
          </cell>
          <cell r="C9">
            <v>139256232</v>
          </cell>
        </row>
        <row r="10">
          <cell r="A10">
            <v>4</v>
          </cell>
          <cell r="B10" t="str">
            <v>MARTHA ISABEL MEDINA</v>
          </cell>
          <cell r="C10">
            <v>139105669</v>
          </cell>
        </row>
        <row r="11">
          <cell r="A11">
            <v>5</v>
          </cell>
          <cell r="B11" t="str">
            <v>CARLOS ALBERTO DURAN</v>
          </cell>
          <cell r="C11">
            <v>137826705</v>
          </cell>
        </row>
        <row r="12">
          <cell r="A12">
            <v>6</v>
          </cell>
          <cell r="B12" t="str">
            <v>REINA ZAMBRANO</v>
          </cell>
          <cell r="C12">
            <v>139425000</v>
          </cell>
        </row>
        <row r="13">
          <cell r="A13">
            <v>7</v>
          </cell>
          <cell r="B13" t="str">
            <v>CONSORCIO JP</v>
          </cell>
          <cell r="C13">
            <v>139286622</v>
          </cell>
        </row>
        <row r="14">
          <cell r="A14">
            <v>8</v>
          </cell>
          <cell r="B14" t="str">
            <v>JOSE GREGORIO MENDEZ</v>
          </cell>
          <cell r="C14">
            <v>139326986</v>
          </cell>
        </row>
        <row r="15">
          <cell r="A15">
            <v>9</v>
          </cell>
          <cell r="B15" t="str">
            <v>MARIBEL RIVEROS</v>
          </cell>
          <cell r="C15">
            <v>139310203</v>
          </cell>
        </row>
        <row r="16">
          <cell r="A16">
            <v>10</v>
          </cell>
          <cell r="B16" t="str">
            <v>MAGDA LUCIA CABEZAS</v>
          </cell>
          <cell r="C16">
            <v>139374048</v>
          </cell>
        </row>
        <row r="17">
          <cell r="A17">
            <v>11</v>
          </cell>
          <cell r="B17" t="str">
            <v>CONSORCIO CONSTRUCCIONES</v>
          </cell>
          <cell r="C17">
            <v>139331438</v>
          </cell>
        </row>
        <row r="18">
          <cell r="A18">
            <v>12</v>
          </cell>
          <cell r="B18" t="str">
            <v>MARIA CLAUDIA GUZMAN</v>
          </cell>
          <cell r="C18">
            <v>139059600</v>
          </cell>
        </row>
        <row r="19">
          <cell r="A19">
            <v>13</v>
          </cell>
          <cell r="B19" t="str">
            <v>VICTOR GABRIEL PARRA</v>
          </cell>
          <cell r="C19">
            <v>138863760</v>
          </cell>
        </row>
        <row r="20">
          <cell r="A20">
            <v>14</v>
          </cell>
          <cell r="B20" t="str">
            <v>TX INGENIERIAS SAS</v>
          </cell>
          <cell r="C20">
            <v>139225163</v>
          </cell>
        </row>
        <row r="21">
          <cell r="A21">
            <v>15</v>
          </cell>
          <cell r="B21">
            <v>0</v>
          </cell>
          <cell r="C21">
            <v>0</v>
          </cell>
        </row>
        <row r="22">
          <cell r="A22">
            <v>16</v>
          </cell>
          <cell r="B22">
            <v>0</v>
          </cell>
          <cell r="C22">
            <v>0</v>
          </cell>
        </row>
        <row r="23">
          <cell r="A23">
            <v>17</v>
          </cell>
          <cell r="B23">
            <v>0</v>
          </cell>
          <cell r="C23">
            <v>0</v>
          </cell>
        </row>
        <row r="24">
          <cell r="A24">
            <v>18</v>
          </cell>
          <cell r="B24">
            <v>0</v>
          </cell>
          <cell r="C24">
            <v>0</v>
          </cell>
        </row>
        <row r="25">
          <cell r="A25">
            <v>19</v>
          </cell>
          <cell r="B25">
            <v>0</v>
          </cell>
          <cell r="C25">
            <v>0</v>
          </cell>
        </row>
        <row r="26">
          <cell r="A26">
            <v>20</v>
          </cell>
          <cell r="B26">
            <v>0</v>
          </cell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PageLayoutView="0" workbookViewId="0" topLeftCell="A10">
      <selection activeCell="AD29" sqref="AD29"/>
    </sheetView>
  </sheetViews>
  <sheetFormatPr defaultColWidth="11.421875" defaultRowHeight="12.75" outlineLevelCol="1"/>
  <cols>
    <col min="1" max="1" width="8.421875" style="1" customWidth="1"/>
    <col min="2" max="2" width="35.140625" style="1" customWidth="1"/>
    <col min="3" max="3" width="19.8515625" style="1" customWidth="1"/>
    <col min="4" max="4" width="23.140625" style="1" customWidth="1"/>
    <col min="5" max="5" width="15.28125" style="1" customWidth="1"/>
    <col min="6" max="6" width="17.140625" style="1" customWidth="1"/>
    <col min="7" max="7" width="16.57421875" style="1" hidden="1" customWidth="1" outlineLevel="1"/>
    <col min="8" max="9" width="14.00390625" style="1" hidden="1" customWidth="1" outlineLevel="1"/>
    <col min="10" max="10" width="13.28125" style="1" hidden="1" customWidth="1" outlineLevel="1"/>
    <col min="11" max="12" width="14.8515625" style="1" hidden="1" customWidth="1" outlineLevel="1"/>
    <col min="13" max="13" width="15.28125" style="1" hidden="1" customWidth="1" outlineLevel="1"/>
    <col min="14" max="14" width="14.8515625" style="1" hidden="1" customWidth="1" outlineLevel="1"/>
    <col min="15" max="15" width="16.421875" style="1" hidden="1" customWidth="1" outlineLevel="1"/>
    <col min="16" max="16" width="19.28125" style="1" customWidth="1" collapsed="1"/>
    <col min="17" max="17" width="12.7109375" style="1" customWidth="1"/>
    <col min="18" max="18" width="14.7109375" style="1" hidden="1" customWidth="1" outlineLevel="1"/>
    <col min="19" max="19" width="14.57421875" style="1" hidden="1" customWidth="1" outlineLevel="1"/>
    <col min="20" max="20" width="13.57421875" style="1" hidden="1" customWidth="1" outlineLevel="1"/>
    <col min="21" max="21" width="13.28125" style="1" hidden="1" customWidth="1" outlineLevel="1"/>
    <col min="22" max="22" width="2.7109375" style="1" customWidth="1" collapsed="1"/>
    <col min="23" max="25" width="2.7109375" style="1" customWidth="1"/>
    <col min="26" max="27" width="11.421875" style="1" customWidth="1"/>
  </cols>
  <sheetData>
    <row r="1" spans="1:25" s="1" customFormat="1" ht="12.7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1" customFormat="1" ht="12.75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1" customFormat="1" ht="12.75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s="1" customFormat="1" ht="30" customHeight="1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s="1" customFormat="1" ht="15.75">
      <c r="A5" s="64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7" spans="1:25" s="20" customFormat="1" ht="12.75">
      <c r="A7" s="41"/>
      <c r="B7" s="59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4" ht="12.75">
      <c r="A8" s="38">
        <v>1</v>
      </c>
      <c r="B8" s="39" t="s">
        <v>1</v>
      </c>
      <c r="C8" s="40">
        <f>VLOOKUP(A8,PRESUPUESTO,3)</f>
        <v>140350828</v>
      </c>
      <c r="D8" s="2"/>
    </row>
    <row r="9" spans="1:4" ht="12.75">
      <c r="A9" s="21"/>
      <c r="B9" s="23" t="s">
        <v>2</v>
      </c>
      <c r="C9" s="24">
        <f>C8*0.95</f>
        <v>133333286.6</v>
      </c>
      <c r="D9" s="24">
        <f>C8</f>
        <v>140350828</v>
      </c>
    </row>
    <row r="10" spans="11:12" ht="12.75">
      <c r="K10" s="56" t="s">
        <v>3</v>
      </c>
      <c r="L10" s="56"/>
    </row>
    <row r="11" spans="1:25" ht="38.25">
      <c r="A11" s="25" t="s">
        <v>4</v>
      </c>
      <c r="B11" s="23" t="s">
        <v>5</v>
      </c>
      <c r="C11" s="22" t="s">
        <v>6</v>
      </c>
      <c r="D11" s="26" t="s">
        <v>7</v>
      </c>
      <c r="E11" s="26" t="s">
        <v>8</v>
      </c>
      <c r="F11" s="27" t="s">
        <v>9</v>
      </c>
      <c r="G11" s="22" t="s">
        <v>10</v>
      </c>
      <c r="H11" s="22" t="s">
        <v>11</v>
      </c>
      <c r="I11" s="22" t="s">
        <v>12</v>
      </c>
      <c r="J11" s="22" t="s">
        <v>13</v>
      </c>
      <c r="K11" s="23" t="s">
        <v>14</v>
      </c>
      <c r="L11" s="23" t="s">
        <v>15</v>
      </c>
      <c r="M11" s="22" t="s">
        <v>16</v>
      </c>
      <c r="N11" s="22" t="s">
        <v>17</v>
      </c>
      <c r="O11" s="22" t="s">
        <v>18</v>
      </c>
      <c r="P11" s="22" t="s">
        <v>19</v>
      </c>
      <c r="Q11" s="22" t="s">
        <v>20</v>
      </c>
      <c r="R11" s="28"/>
      <c r="S11" s="28"/>
      <c r="T11" s="28"/>
      <c r="U11" s="28"/>
      <c r="V11" s="61" t="s">
        <v>36</v>
      </c>
      <c r="W11" s="61"/>
      <c r="X11" s="61"/>
      <c r="Y11" s="61"/>
    </row>
    <row r="12" spans="1:25" ht="12.75">
      <c r="A12" s="5">
        <v>1</v>
      </c>
      <c r="B12" s="6" t="str">
        <f aca="true" t="shared" si="0" ref="B12:B25">VLOOKUP(A12,datos,2)</f>
        <v>MANUEL TORRES BERMUDES</v>
      </c>
      <c r="C12" s="7">
        <f aca="true" t="shared" si="1" ref="C12:C25">VLOOKUP(A12,datos,3)</f>
        <v>139860289</v>
      </c>
      <c r="D12" s="8" t="s">
        <v>21</v>
      </c>
      <c r="E12" s="30" t="str">
        <f>IF(C12&lt;$C$9,"NO",IF(C12&gt;$D$9,"NO","SI"))</f>
        <v>SI</v>
      </c>
      <c r="F12" s="30" t="str">
        <f>IF(AND(D12="SI",E12="SI"),"SI","NO")</f>
        <v>SI</v>
      </c>
      <c r="G12" s="31">
        <f>IF(F12="SI",C12,1)</f>
        <v>139860289</v>
      </c>
      <c r="H12" s="30">
        <f>IF(D30=0,20,20-D30)</f>
        <v>20</v>
      </c>
      <c r="I12" s="30">
        <f>COUNTIF(G12:G25,"&gt;1")</f>
        <v>14</v>
      </c>
      <c r="J12" s="31">
        <f>(SUMIF(G12:G25,"&gt;1"))/$I$12</f>
        <v>139184490.2857143</v>
      </c>
      <c r="K12" s="32">
        <f>J12*0.98</f>
        <v>136400800.48000002</v>
      </c>
      <c r="L12" s="32">
        <f>J12*1.02</f>
        <v>141968180.09142858</v>
      </c>
      <c r="M12" s="33">
        <f aca="true" t="shared" si="2" ref="M12:M25">IF(G12&lt;$K$12,1,IF(G12&gt;$L$12,1,G12))</f>
        <v>139860289</v>
      </c>
      <c r="N12" s="30">
        <f>(SUMIF(M12:M25,"&gt;1"))/$M$27</f>
        <v>139184490.2857143</v>
      </c>
      <c r="O12" s="30" t="str">
        <f>IF(M12&lt;$K$12,"P",IF(M12&gt;$J$12,"P",M12))</f>
        <v>P</v>
      </c>
      <c r="P12" s="31">
        <f aca="true" t="shared" si="3" ref="P12:P25">IF(M12&gt;1,ABS(M12-$D$38),"N")</f>
        <v>732150.7185753584</v>
      </c>
      <c r="Q12" s="30">
        <f aca="true" t="shared" si="4" ref="Q12:Q25">IF(P12=$P$27,"GANADOR","")</f>
      </c>
      <c r="R12" s="3">
        <f aca="true" t="shared" si="5" ref="R12:R25">IF(P12&lt;&gt;$P$27,P12,"N")</f>
        <v>732150.7185753584</v>
      </c>
      <c r="S12" s="3">
        <f aca="true" t="shared" si="6" ref="S12:S25">IF(R12&lt;&gt;$R$27,R12,"N")</f>
        <v>732150.7185753584</v>
      </c>
      <c r="T12" s="3">
        <f aca="true" t="shared" si="7" ref="T12:T25">IF(S12&lt;&gt;$S$27,S12,"N")</f>
        <v>732150.7185753584</v>
      </c>
      <c r="U12" s="3">
        <f aca="true" t="shared" si="8" ref="U12:U25">IF(T12&lt;&gt;$T$27,T12,"N")</f>
        <v>732150.7185753584</v>
      </c>
      <c r="V12" s="29">
        <f aca="true" t="shared" si="9" ref="V12:V25">IF(R12=$R$27,"2º","")</f>
      </c>
      <c r="W12" s="30">
        <f aca="true" t="shared" si="10" ref="W12:W25">IF(S12=$S$27,"3º","")</f>
      </c>
      <c r="X12" s="30">
        <f aca="true" t="shared" si="11" ref="X12:X25">IF(T12=$T$27,"4º","")</f>
      </c>
      <c r="Y12" s="30">
        <f aca="true" t="shared" si="12" ref="Y12:Y25">IF(U12=$U$27,"5º","")</f>
      </c>
    </row>
    <row r="13" spans="1:25" ht="12.75">
      <c r="A13" s="5">
        <v>2</v>
      </c>
      <c r="B13" s="6" t="str">
        <f t="shared" si="0"/>
        <v>JUAN CARLOS COLLAZOS</v>
      </c>
      <c r="C13" s="7">
        <f t="shared" si="1"/>
        <v>139331149</v>
      </c>
      <c r="D13" s="8" t="s">
        <v>21</v>
      </c>
      <c r="E13" s="30" t="str">
        <f aca="true" t="shared" si="13" ref="E13:E25">IF(C13&lt;$C$9,"NO",IF(C13&gt;$D$9,"NO","SI"))</f>
        <v>SI</v>
      </c>
      <c r="F13" s="30" t="str">
        <f aca="true" t="shared" si="14" ref="F13:F25">IF(AND(D13="SI",E13="SI"),"SI","NO")</f>
        <v>SI</v>
      </c>
      <c r="G13" s="31">
        <f aca="true" t="shared" si="15" ref="G13:G25">IF(F13="SI",C13,1)</f>
        <v>139331149</v>
      </c>
      <c r="H13" s="34"/>
      <c r="I13" s="34"/>
      <c r="J13" s="30"/>
      <c r="K13" s="34"/>
      <c r="L13" s="34"/>
      <c r="M13" s="33">
        <f t="shared" si="2"/>
        <v>139331149</v>
      </c>
      <c r="N13" s="34"/>
      <c r="O13" s="30" t="str">
        <f aca="true" t="shared" si="16" ref="O13:O25">IF(M13&lt;$K$12,"P",IF(M13&gt;$J$12,"P",M13))</f>
        <v>P</v>
      </c>
      <c r="P13" s="31">
        <f t="shared" si="3"/>
        <v>203010.7185753584</v>
      </c>
      <c r="Q13" s="30">
        <f t="shared" si="4"/>
      </c>
      <c r="R13" s="3">
        <f t="shared" si="5"/>
        <v>203010.7185753584</v>
      </c>
      <c r="S13" s="3">
        <f t="shared" si="6"/>
        <v>203010.7185753584</v>
      </c>
      <c r="T13" s="3">
        <f t="shared" si="7"/>
        <v>203010.7185753584</v>
      </c>
      <c r="U13" s="3">
        <f t="shared" si="8"/>
        <v>203010.7185753584</v>
      </c>
      <c r="V13" s="29">
        <f t="shared" si="9"/>
      </c>
      <c r="W13" s="30">
        <f t="shared" si="10"/>
      </c>
      <c r="X13" s="30">
        <f t="shared" si="11"/>
      </c>
      <c r="Y13" s="30">
        <f t="shared" si="12"/>
      </c>
    </row>
    <row r="14" spans="1:25" ht="12.75">
      <c r="A14" s="5">
        <v>3</v>
      </c>
      <c r="B14" s="6" t="str">
        <f t="shared" si="0"/>
        <v>ALVARO CORREAL</v>
      </c>
      <c r="C14" s="7">
        <f>VLOOKUP(A14,datos,3)</f>
        <v>139256232</v>
      </c>
      <c r="D14" s="8" t="s">
        <v>21</v>
      </c>
      <c r="E14" s="30" t="str">
        <f t="shared" si="13"/>
        <v>SI</v>
      </c>
      <c r="F14" s="30" t="str">
        <f t="shared" si="14"/>
        <v>SI</v>
      </c>
      <c r="G14" s="31">
        <f t="shared" si="15"/>
        <v>139256232</v>
      </c>
      <c r="H14" s="34"/>
      <c r="I14" s="34"/>
      <c r="J14" s="30"/>
      <c r="K14" s="34"/>
      <c r="L14" s="34"/>
      <c r="M14" s="33">
        <f t="shared" si="2"/>
        <v>139256232</v>
      </c>
      <c r="N14" s="34"/>
      <c r="O14" s="30" t="str">
        <f t="shared" si="16"/>
        <v>P</v>
      </c>
      <c r="P14" s="31">
        <f t="shared" si="3"/>
        <v>128093.71857535839</v>
      </c>
      <c r="Q14" s="30">
        <f t="shared" si="4"/>
      </c>
      <c r="R14" s="3">
        <f t="shared" si="5"/>
        <v>128093.71857535839</v>
      </c>
      <c r="S14" s="3">
        <f t="shared" si="6"/>
        <v>128093.71857535839</v>
      </c>
      <c r="T14" s="3">
        <f t="shared" si="7"/>
        <v>128093.71857535839</v>
      </c>
      <c r="U14" s="3" t="str">
        <f t="shared" si="8"/>
        <v>N</v>
      </c>
      <c r="V14" s="29">
        <f t="shared" si="9"/>
      </c>
      <c r="W14" s="30">
        <f t="shared" si="10"/>
      </c>
      <c r="X14" s="30" t="str">
        <f t="shared" si="11"/>
        <v>4º</v>
      </c>
      <c r="Y14" s="30">
        <f t="shared" si="12"/>
      </c>
    </row>
    <row r="15" spans="1:25" ht="12.75">
      <c r="A15" s="45">
        <v>4</v>
      </c>
      <c r="B15" s="46" t="str">
        <f t="shared" si="0"/>
        <v>MARTHA ISABEL MEDINA</v>
      </c>
      <c r="C15" s="47">
        <f t="shared" si="1"/>
        <v>139105669</v>
      </c>
      <c r="D15" s="48" t="s">
        <v>21</v>
      </c>
      <c r="E15" s="49" t="str">
        <f t="shared" si="13"/>
        <v>SI</v>
      </c>
      <c r="F15" s="49" t="str">
        <f t="shared" si="14"/>
        <v>SI</v>
      </c>
      <c r="G15" s="50">
        <f t="shared" si="15"/>
        <v>139105669</v>
      </c>
      <c r="H15" s="51"/>
      <c r="I15" s="51"/>
      <c r="J15" s="49"/>
      <c r="K15" s="51"/>
      <c r="L15" s="51"/>
      <c r="M15" s="50">
        <f t="shared" si="2"/>
        <v>139105669</v>
      </c>
      <c r="N15" s="51"/>
      <c r="O15" s="49">
        <f t="shared" si="16"/>
        <v>139105669</v>
      </c>
      <c r="P15" s="50">
        <f t="shared" si="3"/>
        <v>22469.28142464161</v>
      </c>
      <c r="Q15" s="49" t="str">
        <f t="shared" si="4"/>
        <v>GANADOR</v>
      </c>
      <c r="R15" s="52" t="str">
        <f t="shared" si="5"/>
        <v>N</v>
      </c>
      <c r="S15" s="52" t="str">
        <f t="shared" si="6"/>
        <v>N</v>
      </c>
      <c r="T15" s="52" t="str">
        <f t="shared" si="7"/>
        <v>N</v>
      </c>
      <c r="U15" s="52" t="str">
        <f t="shared" si="8"/>
        <v>N</v>
      </c>
      <c r="V15" s="53">
        <f t="shared" si="9"/>
      </c>
      <c r="W15" s="49">
        <f t="shared" si="10"/>
      </c>
      <c r="X15" s="49">
        <f t="shared" si="11"/>
      </c>
      <c r="Y15" s="49">
        <f t="shared" si="12"/>
      </c>
    </row>
    <row r="16" spans="1:25" ht="12.75">
      <c r="A16" s="5">
        <v>5</v>
      </c>
      <c r="B16" s="6" t="str">
        <f t="shared" si="0"/>
        <v>CARLOS ALBERTO DURAN</v>
      </c>
      <c r="C16" s="7">
        <f t="shared" si="1"/>
        <v>137826705</v>
      </c>
      <c r="D16" s="8" t="s">
        <v>21</v>
      </c>
      <c r="E16" s="30" t="str">
        <f t="shared" si="13"/>
        <v>SI</v>
      </c>
      <c r="F16" s="30" t="str">
        <f t="shared" si="14"/>
        <v>SI</v>
      </c>
      <c r="G16" s="31">
        <f t="shared" si="15"/>
        <v>137826705</v>
      </c>
      <c r="H16" s="34"/>
      <c r="I16" s="34"/>
      <c r="J16" s="30"/>
      <c r="K16" s="34"/>
      <c r="L16" s="34"/>
      <c r="M16" s="33">
        <f t="shared" si="2"/>
        <v>137826705</v>
      </c>
      <c r="N16" s="34"/>
      <c r="O16" s="30">
        <f t="shared" si="16"/>
        <v>137826705</v>
      </c>
      <c r="P16" s="31">
        <f t="shared" si="3"/>
        <v>1301433.2814246416</v>
      </c>
      <c r="Q16" s="30">
        <f t="shared" si="4"/>
      </c>
      <c r="R16" s="3">
        <f t="shared" si="5"/>
        <v>1301433.2814246416</v>
      </c>
      <c r="S16" s="3">
        <f t="shared" si="6"/>
        <v>1301433.2814246416</v>
      </c>
      <c r="T16" s="3">
        <f t="shared" si="7"/>
        <v>1301433.2814246416</v>
      </c>
      <c r="U16" s="3">
        <f t="shared" si="8"/>
        <v>1301433.2814246416</v>
      </c>
      <c r="V16" s="29">
        <f t="shared" si="9"/>
      </c>
      <c r="W16" s="30">
        <f t="shared" si="10"/>
      </c>
      <c r="X16" s="30">
        <f t="shared" si="11"/>
      </c>
      <c r="Y16" s="30">
        <f t="shared" si="12"/>
      </c>
    </row>
    <row r="17" spans="1:25" ht="12.75">
      <c r="A17" s="5">
        <v>6</v>
      </c>
      <c r="B17" s="6" t="str">
        <f t="shared" si="0"/>
        <v>REINA ZAMBRANO</v>
      </c>
      <c r="C17" s="7">
        <f t="shared" si="1"/>
        <v>139425000</v>
      </c>
      <c r="D17" s="8" t="s">
        <v>21</v>
      </c>
      <c r="E17" s="30" t="str">
        <f t="shared" si="13"/>
        <v>SI</v>
      </c>
      <c r="F17" s="30" t="str">
        <f t="shared" si="14"/>
        <v>SI</v>
      </c>
      <c r="G17" s="31">
        <f t="shared" si="15"/>
        <v>139425000</v>
      </c>
      <c r="H17" s="34"/>
      <c r="I17" s="34"/>
      <c r="J17" s="30"/>
      <c r="K17" s="34"/>
      <c r="L17" s="34"/>
      <c r="M17" s="33">
        <f t="shared" si="2"/>
        <v>139425000</v>
      </c>
      <c r="N17" s="34"/>
      <c r="O17" s="30" t="str">
        <f t="shared" si="16"/>
        <v>P</v>
      </c>
      <c r="P17" s="31">
        <f t="shared" si="3"/>
        <v>296861.7185753584</v>
      </c>
      <c r="Q17" s="30">
        <f t="shared" si="4"/>
      </c>
      <c r="R17" s="3">
        <f t="shared" si="5"/>
        <v>296861.7185753584</v>
      </c>
      <c r="S17" s="3">
        <f t="shared" si="6"/>
        <v>296861.7185753584</v>
      </c>
      <c r="T17" s="3">
        <f t="shared" si="7"/>
        <v>296861.7185753584</v>
      </c>
      <c r="U17" s="3">
        <f t="shared" si="8"/>
        <v>296861.7185753584</v>
      </c>
      <c r="V17" s="29">
        <f t="shared" si="9"/>
      </c>
      <c r="W17" s="30">
        <f t="shared" si="10"/>
      </c>
      <c r="X17" s="30">
        <f t="shared" si="11"/>
      </c>
      <c r="Y17" s="30">
        <f t="shared" si="12"/>
      </c>
    </row>
    <row r="18" spans="1:25" ht="12.75">
      <c r="A18" s="5">
        <v>7</v>
      </c>
      <c r="B18" s="6" t="str">
        <f t="shared" si="0"/>
        <v>CONSORCIO JP</v>
      </c>
      <c r="C18" s="7">
        <f t="shared" si="1"/>
        <v>139286622</v>
      </c>
      <c r="D18" s="8" t="s">
        <v>21</v>
      </c>
      <c r="E18" s="30" t="str">
        <f t="shared" si="13"/>
        <v>SI</v>
      </c>
      <c r="F18" s="30" t="str">
        <f t="shared" si="14"/>
        <v>SI</v>
      </c>
      <c r="G18" s="31">
        <f t="shared" si="15"/>
        <v>139286622</v>
      </c>
      <c r="H18" s="34"/>
      <c r="I18" s="34"/>
      <c r="J18" s="30"/>
      <c r="K18" s="34"/>
      <c r="L18" s="34"/>
      <c r="M18" s="33">
        <f t="shared" si="2"/>
        <v>139286622</v>
      </c>
      <c r="N18" s="34"/>
      <c r="O18" s="30" t="str">
        <f t="shared" si="16"/>
        <v>P</v>
      </c>
      <c r="P18" s="31">
        <f t="shared" si="3"/>
        <v>158483.7185753584</v>
      </c>
      <c r="Q18" s="30">
        <f t="shared" si="4"/>
      </c>
      <c r="R18" s="3">
        <f t="shared" si="5"/>
        <v>158483.7185753584</v>
      </c>
      <c r="S18" s="3">
        <f t="shared" si="6"/>
        <v>158483.7185753584</v>
      </c>
      <c r="T18" s="3">
        <f t="shared" si="7"/>
        <v>158483.7185753584</v>
      </c>
      <c r="U18" s="3">
        <f t="shared" si="8"/>
        <v>158483.7185753584</v>
      </c>
      <c r="V18" s="29">
        <f t="shared" si="9"/>
      </c>
      <c r="W18" s="30">
        <f t="shared" si="10"/>
      </c>
      <c r="X18" s="30">
        <f t="shared" si="11"/>
      </c>
      <c r="Y18" s="30" t="str">
        <f t="shared" si="12"/>
        <v>5º</v>
      </c>
    </row>
    <row r="19" spans="1:25" ht="12.75">
      <c r="A19" s="5">
        <v>8</v>
      </c>
      <c r="B19" s="6" t="str">
        <f t="shared" si="0"/>
        <v>JOSE GREGORIO MENDEZ</v>
      </c>
      <c r="C19" s="7">
        <f t="shared" si="1"/>
        <v>139326986</v>
      </c>
      <c r="D19" s="8" t="s">
        <v>21</v>
      </c>
      <c r="E19" s="30" t="str">
        <f t="shared" si="13"/>
        <v>SI</v>
      </c>
      <c r="F19" s="30" t="str">
        <f t="shared" si="14"/>
        <v>SI</v>
      </c>
      <c r="G19" s="31">
        <f t="shared" si="15"/>
        <v>139326986</v>
      </c>
      <c r="H19" s="34"/>
      <c r="I19" s="34"/>
      <c r="J19" s="30"/>
      <c r="K19" s="34"/>
      <c r="L19" s="34"/>
      <c r="M19" s="33">
        <f t="shared" si="2"/>
        <v>139326986</v>
      </c>
      <c r="N19" s="34"/>
      <c r="O19" s="30" t="str">
        <f t="shared" si="16"/>
        <v>P</v>
      </c>
      <c r="P19" s="31">
        <f t="shared" si="3"/>
        <v>198847.7185753584</v>
      </c>
      <c r="Q19" s="30">
        <f t="shared" si="4"/>
      </c>
      <c r="R19" s="3">
        <f t="shared" si="5"/>
        <v>198847.7185753584</v>
      </c>
      <c r="S19" s="3">
        <f t="shared" si="6"/>
        <v>198847.7185753584</v>
      </c>
      <c r="T19" s="3">
        <f t="shared" si="7"/>
        <v>198847.7185753584</v>
      </c>
      <c r="U19" s="3">
        <f t="shared" si="8"/>
        <v>198847.7185753584</v>
      </c>
      <c r="V19" s="29">
        <f t="shared" si="9"/>
      </c>
      <c r="W19" s="30">
        <f t="shared" si="10"/>
      </c>
      <c r="X19" s="30">
        <f t="shared" si="11"/>
      </c>
      <c r="Y19" s="30">
        <f t="shared" si="12"/>
      </c>
    </row>
    <row r="20" spans="1:25" ht="12.75">
      <c r="A20" s="5">
        <v>9</v>
      </c>
      <c r="B20" s="6" t="str">
        <f t="shared" si="0"/>
        <v>MARIBEL RIVEROS</v>
      </c>
      <c r="C20" s="7">
        <f t="shared" si="1"/>
        <v>139310203</v>
      </c>
      <c r="D20" s="8" t="s">
        <v>21</v>
      </c>
      <c r="E20" s="30" t="str">
        <f t="shared" si="13"/>
        <v>SI</v>
      </c>
      <c r="F20" s="30" t="str">
        <f t="shared" si="14"/>
        <v>SI</v>
      </c>
      <c r="G20" s="31">
        <f t="shared" si="15"/>
        <v>139310203</v>
      </c>
      <c r="H20" s="34"/>
      <c r="I20" s="34"/>
      <c r="J20" s="30"/>
      <c r="K20" s="34"/>
      <c r="L20" s="34"/>
      <c r="M20" s="33">
        <f t="shared" si="2"/>
        <v>139310203</v>
      </c>
      <c r="N20" s="34"/>
      <c r="O20" s="30" t="str">
        <f t="shared" si="16"/>
        <v>P</v>
      </c>
      <c r="P20" s="31">
        <f t="shared" si="3"/>
        <v>182064.7185753584</v>
      </c>
      <c r="Q20" s="30">
        <f t="shared" si="4"/>
      </c>
      <c r="R20" s="3">
        <f t="shared" si="5"/>
        <v>182064.7185753584</v>
      </c>
      <c r="S20" s="3">
        <f t="shared" si="6"/>
        <v>182064.7185753584</v>
      </c>
      <c r="T20" s="3">
        <f t="shared" si="7"/>
        <v>182064.7185753584</v>
      </c>
      <c r="U20" s="3">
        <f t="shared" si="8"/>
        <v>182064.7185753584</v>
      </c>
      <c r="V20" s="29">
        <f t="shared" si="9"/>
      </c>
      <c r="W20" s="30">
        <f t="shared" si="10"/>
      </c>
      <c r="X20" s="30">
        <f t="shared" si="11"/>
      </c>
      <c r="Y20" s="30">
        <f t="shared" si="12"/>
      </c>
    </row>
    <row r="21" spans="1:25" ht="12.75">
      <c r="A21" s="5">
        <v>10</v>
      </c>
      <c r="B21" s="6" t="str">
        <f t="shared" si="0"/>
        <v>MAGDA LUCIA CABEZAS</v>
      </c>
      <c r="C21" s="7">
        <f t="shared" si="1"/>
        <v>139374048</v>
      </c>
      <c r="D21" s="8" t="s">
        <v>21</v>
      </c>
      <c r="E21" s="30" t="str">
        <f t="shared" si="13"/>
        <v>SI</v>
      </c>
      <c r="F21" s="30" t="str">
        <f t="shared" si="14"/>
        <v>SI</v>
      </c>
      <c r="G21" s="31">
        <f t="shared" si="15"/>
        <v>139374048</v>
      </c>
      <c r="H21" s="34"/>
      <c r="I21" s="34"/>
      <c r="J21" s="30"/>
      <c r="K21" s="34"/>
      <c r="L21" s="34"/>
      <c r="M21" s="33">
        <f t="shared" si="2"/>
        <v>139374048</v>
      </c>
      <c r="N21" s="34"/>
      <c r="O21" s="30" t="str">
        <f t="shared" si="16"/>
        <v>P</v>
      </c>
      <c r="P21" s="31">
        <f t="shared" si="3"/>
        <v>245909.7185753584</v>
      </c>
      <c r="Q21" s="30">
        <f t="shared" si="4"/>
      </c>
      <c r="R21" s="3">
        <f t="shared" si="5"/>
        <v>245909.7185753584</v>
      </c>
      <c r="S21" s="3">
        <f t="shared" si="6"/>
        <v>245909.7185753584</v>
      </c>
      <c r="T21" s="3">
        <f t="shared" si="7"/>
        <v>245909.7185753584</v>
      </c>
      <c r="U21" s="3">
        <f t="shared" si="8"/>
        <v>245909.7185753584</v>
      </c>
      <c r="V21" s="29">
        <f t="shared" si="9"/>
      </c>
      <c r="W21" s="30">
        <f t="shared" si="10"/>
      </c>
      <c r="X21" s="30">
        <f t="shared" si="11"/>
      </c>
      <c r="Y21" s="30">
        <f t="shared" si="12"/>
      </c>
    </row>
    <row r="22" spans="1:25" ht="12.75">
      <c r="A22" s="5">
        <v>11</v>
      </c>
      <c r="B22" s="6" t="str">
        <f t="shared" si="0"/>
        <v>CONSORCIO CONSTRUCCIONES</v>
      </c>
      <c r="C22" s="7">
        <f t="shared" si="1"/>
        <v>139331438</v>
      </c>
      <c r="D22" s="8" t="s">
        <v>21</v>
      </c>
      <c r="E22" s="30" t="str">
        <f t="shared" si="13"/>
        <v>SI</v>
      </c>
      <c r="F22" s="30" t="str">
        <f t="shared" si="14"/>
        <v>SI</v>
      </c>
      <c r="G22" s="31">
        <f t="shared" si="15"/>
        <v>139331438</v>
      </c>
      <c r="H22" s="34"/>
      <c r="I22" s="34"/>
      <c r="J22" s="30"/>
      <c r="K22" s="34"/>
      <c r="L22" s="34"/>
      <c r="M22" s="33">
        <f t="shared" si="2"/>
        <v>139331438</v>
      </c>
      <c r="N22" s="34"/>
      <c r="O22" s="30" t="str">
        <f t="shared" si="16"/>
        <v>P</v>
      </c>
      <c r="P22" s="31">
        <f t="shared" si="3"/>
        <v>203299.7185753584</v>
      </c>
      <c r="Q22" s="30">
        <f t="shared" si="4"/>
      </c>
      <c r="R22" s="3">
        <f t="shared" si="5"/>
        <v>203299.7185753584</v>
      </c>
      <c r="S22" s="3">
        <f t="shared" si="6"/>
        <v>203299.7185753584</v>
      </c>
      <c r="T22" s="3">
        <f t="shared" si="7"/>
        <v>203299.7185753584</v>
      </c>
      <c r="U22" s="3">
        <f t="shared" si="8"/>
        <v>203299.7185753584</v>
      </c>
      <c r="V22" s="29">
        <f t="shared" si="9"/>
      </c>
      <c r="W22" s="30">
        <f t="shared" si="10"/>
      </c>
      <c r="X22" s="30">
        <f t="shared" si="11"/>
      </c>
      <c r="Y22" s="30">
        <f t="shared" si="12"/>
      </c>
    </row>
    <row r="23" spans="1:25" ht="12.75">
      <c r="A23" s="5">
        <v>12</v>
      </c>
      <c r="B23" s="6" t="str">
        <f t="shared" si="0"/>
        <v>MARIA CLAUDIA GUZMAN</v>
      </c>
      <c r="C23" s="7">
        <f t="shared" si="1"/>
        <v>139059600</v>
      </c>
      <c r="D23" s="8" t="s">
        <v>21</v>
      </c>
      <c r="E23" s="30" t="str">
        <f t="shared" si="13"/>
        <v>SI</v>
      </c>
      <c r="F23" s="30" t="str">
        <f t="shared" si="14"/>
        <v>SI</v>
      </c>
      <c r="G23" s="31">
        <f t="shared" si="15"/>
        <v>139059600</v>
      </c>
      <c r="H23" s="34"/>
      <c r="I23" s="34"/>
      <c r="J23" s="30"/>
      <c r="K23" s="34"/>
      <c r="L23" s="34"/>
      <c r="M23" s="33">
        <f t="shared" si="2"/>
        <v>139059600</v>
      </c>
      <c r="N23" s="34"/>
      <c r="O23" s="30">
        <f t="shared" si="16"/>
        <v>139059600</v>
      </c>
      <c r="P23" s="31">
        <f t="shared" si="3"/>
        <v>68538.28142464161</v>
      </c>
      <c r="Q23" s="30">
        <f t="shared" si="4"/>
      </c>
      <c r="R23" s="3">
        <f t="shared" si="5"/>
        <v>68538.28142464161</v>
      </c>
      <c r="S23" s="3" t="str">
        <f t="shared" si="6"/>
        <v>N</v>
      </c>
      <c r="T23" s="3" t="str">
        <f t="shared" si="7"/>
        <v>N</v>
      </c>
      <c r="U23" s="3" t="str">
        <f t="shared" si="8"/>
        <v>N</v>
      </c>
      <c r="V23" s="29" t="str">
        <f t="shared" si="9"/>
        <v>2º</v>
      </c>
      <c r="W23" s="30">
        <f t="shared" si="10"/>
      </c>
      <c r="X23" s="30">
        <f t="shared" si="11"/>
      </c>
      <c r="Y23" s="30">
        <f t="shared" si="12"/>
      </c>
    </row>
    <row r="24" spans="1:25" ht="12.75">
      <c r="A24" s="5">
        <v>13</v>
      </c>
      <c r="B24" s="6" t="str">
        <f t="shared" si="0"/>
        <v>VICTOR GABRIEL PARRA</v>
      </c>
      <c r="C24" s="7">
        <f t="shared" si="1"/>
        <v>138863760</v>
      </c>
      <c r="D24" s="8" t="s">
        <v>21</v>
      </c>
      <c r="E24" s="30" t="str">
        <f t="shared" si="13"/>
        <v>SI</v>
      </c>
      <c r="F24" s="30" t="str">
        <f t="shared" si="14"/>
        <v>SI</v>
      </c>
      <c r="G24" s="31">
        <f t="shared" si="15"/>
        <v>138863760</v>
      </c>
      <c r="H24" s="34"/>
      <c r="I24" s="34"/>
      <c r="J24" s="30"/>
      <c r="K24" s="34"/>
      <c r="L24" s="34"/>
      <c r="M24" s="33">
        <f t="shared" si="2"/>
        <v>138863760</v>
      </c>
      <c r="N24" s="34"/>
      <c r="O24" s="30">
        <f t="shared" si="16"/>
        <v>138863760</v>
      </c>
      <c r="P24" s="31">
        <f t="shared" si="3"/>
        <v>264378.2814246416</v>
      </c>
      <c r="Q24" s="30">
        <f t="shared" si="4"/>
      </c>
      <c r="R24" s="3">
        <f t="shared" si="5"/>
        <v>264378.2814246416</v>
      </c>
      <c r="S24" s="3">
        <f t="shared" si="6"/>
        <v>264378.2814246416</v>
      </c>
      <c r="T24" s="3">
        <f t="shared" si="7"/>
        <v>264378.2814246416</v>
      </c>
      <c r="U24" s="3">
        <f t="shared" si="8"/>
        <v>264378.2814246416</v>
      </c>
      <c r="V24" s="29">
        <f t="shared" si="9"/>
      </c>
      <c r="W24" s="30">
        <f t="shared" si="10"/>
      </c>
      <c r="X24" s="30">
        <f t="shared" si="11"/>
      </c>
      <c r="Y24" s="30">
        <f t="shared" si="12"/>
      </c>
    </row>
    <row r="25" spans="1:25" ht="12.75">
      <c r="A25" s="5">
        <v>14</v>
      </c>
      <c r="B25" s="6" t="str">
        <f t="shared" si="0"/>
        <v>TX INGENIERIAS SAS</v>
      </c>
      <c r="C25" s="7">
        <f t="shared" si="1"/>
        <v>139225163</v>
      </c>
      <c r="D25" s="8" t="s">
        <v>21</v>
      </c>
      <c r="E25" s="30" t="str">
        <f t="shared" si="13"/>
        <v>SI</v>
      </c>
      <c r="F25" s="30" t="str">
        <f t="shared" si="14"/>
        <v>SI</v>
      </c>
      <c r="G25" s="31">
        <f t="shared" si="15"/>
        <v>139225163</v>
      </c>
      <c r="H25" s="34"/>
      <c r="I25" s="34"/>
      <c r="J25" s="30"/>
      <c r="K25" s="34"/>
      <c r="L25" s="34"/>
      <c r="M25" s="33">
        <f t="shared" si="2"/>
        <v>139225163</v>
      </c>
      <c r="N25" s="34"/>
      <c r="O25" s="30" t="str">
        <f t="shared" si="16"/>
        <v>P</v>
      </c>
      <c r="P25" s="31">
        <f t="shared" si="3"/>
        <v>97024.71857535839</v>
      </c>
      <c r="Q25" s="30">
        <f t="shared" si="4"/>
      </c>
      <c r="R25" s="3">
        <f t="shared" si="5"/>
        <v>97024.71857535839</v>
      </c>
      <c r="S25" s="3">
        <f t="shared" si="6"/>
        <v>97024.71857535839</v>
      </c>
      <c r="T25" s="3" t="str">
        <f t="shared" si="7"/>
        <v>N</v>
      </c>
      <c r="U25" s="3" t="str">
        <f t="shared" si="8"/>
        <v>N</v>
      </c>
      <c r="V25" s="29">
        <f t="shared" si="9"/>
      </c>
      <c r="W25" s="30" t="str">
        <f t="shared" si="10"/>
        <v>3º</v>
      </c>
      <c r="X25" s="30">
        <f t="shared" si="11"/>
      </c>
      <c r="Y25" s="30">
        <f t="shared" si="12"/>
      </c>
    </row>
    <row r="27" spans="13:21" ht="12.75">
      <c r="M27" s="9">
        <f>COUNTIF(M12:M25,"&gt;1")</f>
        <v>14</v>
      </c>
      <c r="N27" s="4" t="s">
        <v>22</v>
      </c>
      <c r="O27" s="10">
        <f>MAX(O12:O25)</f>
        <v>139105669</v>
      </c>
      <c r="P27" s="35">
        <f>MIN(P12:P25)</f>
        <v>22469.28142464161</v>
      </c>
      <c r="R27" s="3">
        <f>MIN(R12:R25)</f>
        <v>68538.28142464161</v>
      </c>
      <c r="S27" s="3">
        <f>MIN(S12:S25)</f>
        <v>97024.71857535839</v>
      </c>
      <c r="T27" s="3">
        <f>MIN(T12:T25)</f>
        <v>128093.71857535839</v>
      </c>
      <c r="U27" s="3">
        <f>MIN(U12:U25)</f>
        <v>158483.7185753584</v>
      </c>
    </row>
    <row r="28" spans="3:15" ht="12.75">
      <c r="C28" s="11"/>
      <c r="D28" s="36" t="s">
        <v>21</v>
      </c>
      <c r="N28" s="4" t="s">
        <v>23</v>
      </c>
      <c r="O28" s="12">
        <f>MIN(O12:O25)</f>
        <v>137826705</v>
      </c>
    </row>
    <row r="29" ht="12.75">
      <c r="D29" s="36" t="s">
        <v>24</v>
      </c>
    </row>
    <row r="30" ht="12.75">
      <c r="D30" s="36">
        <f>COUNT(B12:B25)</f>
        <v>0</v>
      </c>
    </row>
    <row r="32" spans="2:7" ht="15">
      <c r="B32" s="57" t="s">
        <v>25</v>
      </c>
      <c r="C32" s="57"/>
      <c r="D32" s="42">
        <f>C8</f>
        <v>140350828</v>
      </c>
      <c r="E32" s="13"/>
      <c r="F32" s="13"/>
      <c r="G32" s="13"/>
    </row>
    <row r="33" spans="2:7" ht="15.75">
      <c r="B33" s="58" t="s">
        <v>26</v>
      </c>
      <c r="C33" s="58"/>
      <c r="D33" s="42">
        <f>J12</f>
        <v>139184490.2857143</v>
      </c>
      <c r="E33" s="14"/>
      <c r="F33" s="14"/>
      <c r="G33" s="14"/>
    </row>
    <row r="34" spans="2:7" ht="12.75">
      <c r="B34" s="54" t="s">
        <v>27</v>
      </c>
      <c r="C34" s="54"/>
      <c r="D34" s="42">
        <f>N12</f>
        <v>139184490.2857143</v>
      </c>
      <c r="E34" s="15"/>
      <c r="F34" s="15"/>
      <c r="G34" s="16"/>
    </row>
    <row r="35" spans="2:7" ht="12.75">
      <c r="B35" s="54" t="s">
        <v>28</v>
      </c>
      <c r="C35" s="54"/>
      <c r="D35" s="42">
        <f>O27</f>
        <v>139105669</v>
      </c>
      <c r="E35" s="15"/>
      <c r="F35" s="15"/>
      <c r="G35" s="15"/>
    </row>
    <row r="36" spans="2:9" ht="12.75">
      <c r="B36" s="54" t="s">
        <v>29</v>
      </c>
      <c r="C36" s="54"/>
      <c r="D36" s="42">
        <f>O28</f>
        <v>137826705</v>
      </c>
      <c r="E36" s="15"/>
      <c r="F36" s="15"/>
      <c r="G36" s="15"/>
      <c r="I36" s="17"/>
    </row>
    <row r="37" spans="4:9" ht="12.75">
      <c r="D37" s="43"/>
      <c r="I37" s="18"/>
    </row>
    <row r="38" spans="2:9" ht="12.75">
      <c r="B38" s="37" t="s">
        <v>30</v>
      </c>
      <c r="C38" s="19"/>
      <c r="D38" s="44">
        <f>(PRODUCT(D32:D36))^(1/5)</f>
        <v>139128138.28142464</v>
      </c>
      <c r="E38" s="19"/>
      <c r="F38" s="19"/>
      <c r="G38" s="19"/>
      <c r="I38" s="18"/>
    </row>
    <row r="42" ht="12.75">
      <c r="I42" s="18"/>
    </row>
    <row r="44" ht="12.75">
      <c r="H44" s="1">
        <v>0</v>
      </c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</sheetData>
  <sheetProtection/>
  <mergeCells count="13">
    <mergeCell ref="A1:Y1"/>
    <mergeCell ref="A2:Y2"/>
    <mergeCell ref="A3:Y3"/>
    <mergeCell ref="A5:Y5"/>
    <mergeCell ref="B34:C34"/>
    <mergeCell ref="B35:C35"/>
    <mergeCell ref="B36:C36"/>
    <mergeCell ref="A4:Y4"/>
    <mergeCell ref="K10:L10"/>
    <mergeCell ref="B32:C32"/>
    <mergeCell ref="B33:C33"/>
    <mergeCell ref="B7:Y7"/>
    <mergeCell ref="V11:Y11"/>
  </mergeCells>
  <dataValidations count="1">
    <dataValidation type="list" allowBlank="1" showInputMessage="1" showErrorMessage="1" sqref="E155:E174 D12:D25">
      <formula1>$D$28:$D$29</formula1>
    </dataValidation>
  </dataValidations>
  <printOptions horizontalCentered="1"/>
  <pageMargins left="0.1968503937007874" right="0.1968503937007874" top="0.984251968503937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IsabelG</cp:lastModifiedBy>
  <cp:lastPrinted>2011-05-03T20:26:27Z</cp:lastPrinted>
  <dcterms:created xsi:type="dcterms:W3CDTF">2011-05-03T20:14:56Z</dcterms:created>
  <dcterms:modified xsi:type="dcterms:W3CDTF">2011-05-03T21:32:37Z</dcterms:modified>
  <cp:category/>
  <cp:version/>
  <cp:contentType/>
  <cp:contentStatus/>
</cp:coreProperties>
</file>